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'Hoja1'!$A$1:$J$30</definedName>
  </definedNames>
  <calcPr fullCalcOnLoad="1"/>
</workbook>
</file>

<file path=xl/comments1.xml><?xml version="1.0" encoding="utf-8"?>
<comments xmlns="http://schemas.openxmlformats.org/spreadsheetml/2006/main">
  <authors>
    <author>PMJ</author>
  </authors>
  <commentList>
    <comment ref="H11" authorId="0">
      <text>
        <r>
          <rPr>
            <sz val="9"/>
            <rFont val="Tahoma"/>
            <family val="0"/>
          </rPr>
          <t>coeficiente de actualización sólo para 2014</t>
        </r>
      </text>
    </comment>
  </commentList>
</comments>
</file>

<file path=xl/sharedStrings.xml><?xml version="1.0" encoding="utf-8"?>
<sst xmlns="http://schemas.openxmlformats.org/spreadsheetml/2006/main" count="57" uniqueCount="44">
  <si>
    <t xml:space="preserve">Año de adquisición </t>
  </si>
  <si>
    <t>COEF. ABATIMIENTO</t>
  </si>
  <si>
    <t>Coeficiente</t>
  </si>
  <si>
    <t>Nº días que ha estado en el patrimonio</t>
  </si>
  <si>
    <t xml:space="preserve">1994 y anteriores </t>
  </si>
  <si>
    <t>ganancia diaria</t>
  </si>
  <si>
    <t>dias con derecho a reduccion</t>
  </si>
  <si>
    <t>Fecha límite reducción</t>
  </si>
  <si>
    <t>V. Compra Actualizado</t>
  </si>
  <si>
    <t>Ganancia con derecho a reducción</t>
  </si>
  <si>
    <t>Parte de ganancia reducida</t>
  </si>
  <si>
    <t>Ganancia sin reducción</t>
  </si>
  <si>
    <t>Ganancia exenta por reinversión</t>
  </si>
  <si>
    <t>Rellena sólo las casillas sobreadas en amarillo</t>
  </si>
  <si>
    <t>* Se advierte que los cálculos efectuados pueden contener errores involuntarios.</t>
  </si>
  <si>
    <t>Base del Ahorro hasta €</t>
  </si>
  <si>
    <t>Cuota Íntegra Estatal €</t>
  </si>
  <si>
    <t>Resto Base Liquidable €</t>
  </si>
  <si>
    <t>Tipo aplicable Estatal (%)</t>
  </si>
  <si>
    <t>En adelante</t>
  </si>
  <si>
    <t>GANANCIA NO EXENTA</t>
  </si>
  <si>
    <r>
      <t>*Importante</t>
    </r>
    <r>
      <rPr>
        <b/>
        <sz val="10"/>
        <rFont val="Arial"/>
        <family val="2"/>
      </rPr>
      <t xml:space="preserve">: El impuesto a pagar aquí calculado sólo se refiere a la tributación de la ganancia obtenida por la venta del inmueble. No recoge el resto de rendimientos. Por lo que </t>
    </r>
    <r>
      <rPr>
        <b/>
        <sz val="10"/>
        <color indexed="10"/>
        <rFont val="Arial"/>
        <family val="2"/>
      </rPr>
      <t>la cantidad total a pagar en la declaración de la Renta dependerá del total de rentas obtenidas en el año.</t>
    </r>
  </si>
  <si>
    <t>Fecha Compra (dd/mm/aa)</t>
  </si>
  <si>
    <t>Importe Compra + gastos + mejoras</t>
  </si>
  <si>
    <t>Ganancia/Pérdida Patrimonial</t>
  </si>
  <si>
    <t>Ganancia fiscal reducida</t>
  </si>
  <si>
    <t>Impuesto a pagar IRPF</t>
  </si>
  <si>
    <t>Ganancia no exenta (Base imponible del ahorro)</t>
  </si>
  <si>
    <t xml:space="preserve">CÁLCULO DEL IMPUESTO A PAGAR EN IRPF POR LA VENTA DE INMUEBLES ANTES Y DESPUÉS DE LA REFORMA FISCAL </t>
  </si>
  <si>
    <t>Importe que reinviertes en la nueva vivienda habitual</t>
  </si>
  <si>
    <t>Importe cancelado del préstamo en el momento de la venta</t>
  </si>
  <si>
    <t xml:space="preserve">Importe Venta - Gastos </t>
  </si>
  <si>
    <t>Ahorro fiscal 2014/2015</t>
  </si>
  <si>
    <t>Ahorro fiscal 2014/2016</t>
  </si>
  <si>
    <t>Tarifa 2015</t>
  </si>
  <si>
    <t>Tarifa 2016</t>
  </si>
  <si>
    <t>Si tienes más de 65 años introduce el importe de la venta que reinviertes en una renta vitalicia</t>
  </si>
  <si>
    <r>
      <t xml:space="preserve">Si la vivienda que vendes es tu </t>
    </r>
    <r>
      <rPr>
        <b/>
        <sz val="10"/>
        <color indexed="12"/>
        <rFont val="Arial"/>
        <family val="2"/>
      </rPr>
      <t>vivienda habitual</t>
    </r>
    <r>
      <rPr>
        <b/>
        <sz val="10"/>
        <rFont val="Arial"/>
        <family val="2"/>
      </rPr>
      <t>, rellena estas dos casillas:</t>
    </r>
  </si>
  <si>
    <t>Valor total de elementos vendidos después del 1/01/2015 que hayan aplicado los coeficientes de abatimiento</t>
  </si>
  <si>
    <t>Fecha Venta (dd/mm/aa)</t>
  </si>
  <si>
    <t>Reduc. inmuebles adquiridos antes 31/12/1994</t>
  </si>
  <si>
    <t>Coeficiente reductor</t>
  </si>
  <si>
    <t>Exenc 50% Inmueb. Adq. del 12/05/12 a 31/12/12 (Ver nota 1)</t>
  </si>
  <si>
    <t>Nota 1: Esa exención NO se aplica para inmuebles adquiridos por Donación. ¡Por favor, tenlo en cuenta!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</si>
</sst>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0.0"/>
    <numFmt numFmtId="170" formatCode="0.000"/>
    <numFmt numFmtId="171" formatCode="0.0000"/>
    <numFmt numFmtId="172" formatCode="0.0%"/>
    <numFmt numFmtId="173" formatCode="[$-C0A]dddd\,\ dd&quot; de &quot;mmmm&quot; de &quot;yyyy"/>
  </numFmts>
  <fonts count="1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9"/>
      <name val="Tahoma"/>
      <family val="0"/>
    </font>
    <font>
      <b/>
      <sz val="10.5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0" xfId="0" applyFill="1" applyAlignment="1">
      <alignment/>
    </xf>
    <xf numFmtId="44" fontId="0" fillId="2" borderId="0" xfId="15" applyFill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6" fillId="2" borderId="0" xfId="0" applyFont="1" applyFill="1" applyAlignment="1">
      <alignment horizontal="justify"/>
    </xf>
    <xf numFmtId="2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10" fontId="0" fillId="2" borderId="0" xfId="20" applyNumberFormat="1" applyFill="1" applyAlignment="1">
      <alignment/>
    </xf>
    <xf numFmtId="14" fontId="4" fillId="2" borderId="3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4" fontId="0" fillId="2" borderId="0" xfId="0" applyNumberFormat="1" applyFill="1" applyAlignment="1">
      <alignment/>
    </xf>
    <xf numFmtId="9" fontId="0" fillId="2" borderId="0" xfId="20" applyFill="1" applyAlignment="1">
      <alignment/>
    </xf>
    <xf numFmtId="0" fontId="9" fillId="2" borderId="0" xfId="0" applyFont="1" applyFill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6" xfId="18" applyBorder="1" applyAlignment="1">
      <alignment horizontal="center"/>
    </xf>
    <xf numFmtId="44" fontId="0" fillId="0" borderId="7" xfId="18" applyBorder="1" applyAlignment="1">
      <alignment horizontal="center" wrapText="1"/>
    </xf>
    <xf numFmtId="44" fontId="0" fillId="0" borderId="8" xfId="18" applyBorder="1" applyAlignment="1">
      <alignment horizontal="center" wrapText="1"/>
    </xf>
    <xf numFmtId="44" fontId="0" fillId="0" borderId="8" xfId="18" applyFont="1" applyBorder="1" applyAlignment="1">
      <alignment horizontal="center" wrapText="1"/>
    </xf>
    <xf numFmtId="9" fontId="0" fillId="0" borderId="6" xfId="20" applyBorder="1" applyAlignment="1">
      <alignment horizontal="center"/>
    </xf>
    <xf numFmtId="9" fontId="0" fillId="0" borderId="8" xfId="20" applyBorder="1" applyAlignment="1">
      <alignment horizontal="center" wrapText="1"/>
    </xf>
    <xf numFmtId="0" fontId="3" fillId="2" borderId="0" xfId="0" applyFont="1" applyFill="1" applyAlignment="1">
      <alignment horizontal="right"/>
    </xf>
    <xf numFmtId="44" fontId="3" fillId="2" borderId="0" xfId="15" applyFont="1" applyFill="1" applyAlignment="1">
      <alignment horizontal="right"/>
    </xf>
    <xf numFmtId="44" fontId="3" fillId="3" borderId="1" xfId="15" applyFont="1" applyFill="1" applyBorder="1" applyAlignment="1">
      <alignment horizontal="justify"/>
    </xf>
    <xf numFmtId="0" fontId="3" fillId="2" borderId="0" xfId="0" applyFont="1" applyFill="1" applyAlignment="1">
      <alignment/>
    </xf>
    <xf numFmtId="0" fontId="8" fillId="2" borderId="0" xfId="0" applyFont="1" applyFill="1" applyBorder="1" applyAlignment="1" applyProtection="1">
      <alignment horizontal="justify" vertical="center"/>
      <protection hidden="1"/>
    </xf>
    <xf numFmtId="0" fontId="3" fillId="2" borderId="0" xfId="0" applyFont="1" applyFill="1" applyBorder="1" applyAlignment="1">
      <alignment horizontal="center"/>
    </xf>
    <xf numFmtId="44" fontId="0" fillId="2" borderId="0" xfId="0" applyNumberFormat="1" applyFill="1" applyBorder="1" applyAlignment="1">
      <alignment/>
    </xf>
    <xf numFmtId="44" fontId="0" fillId="2" borderId="9" xfId="0" applyNumberFormat="1" applyFill="1" applyBorder="1" applyAlignment="1">
      <alignment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>
      <alignment horizontal="left"/>
    </xf>
    <xf numFmtId="44" fontId="3" fillId="2" borderId="0" xfId="15" applyFont="1" applyFill="1" applyAlignment="1">
      <alignment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/>
    </xf>
    <xf numFmtId="44" fontId="3" fillId="4" borderId="12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44" fontId="3" fillId="4" borderId="4" xfId="0" applyNumberFormat="1" applyFont="1" applyFill="1" applyBorder="1" applyAlignment="1">
      <alignment/>
    </xf>
    <xf numFmtId="44" fontId="0" fillId="2" borderId="14" xfId="0" applyNumberFormat="1" applyFill="1" applyBorder="1" applyAlignment="1" applyProtection="1">
      <alignment/>
      <protection hidden="1"/>
    </xf>
    <xf numFmtId="44" fontId="0" fillId="2" borderId="15" xfId="15" applyFill="1" applyBorder="1" applyAlignment="1" applyProtection="1">
      <alignment/>
      <protection hidden="1"/>
    </xf>
    <xf numFmtId="44" fontId="0" fillId="2" borderId="14" xfId="15" applyFill="1" applyBorder="1" applyAlignment="1" applyProtection="1">
      <alignment/>
      <protection hidden="1"/>
    </xf>
    <xf numFmtId="44" fontId="3" fillId="4" borderId="3" xfId="0" applyNumberFormat="1" applyFont="1" applyFill="1" applyBorder="1" applyAlignment="1" applyProtection="1">
      <alignment/>
      <protection hidden="1"/>
    </xf>
    <xf numFmtId="44" fontId="0" fillId="4" borderId="1" xfId="15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justify" vertical="center"/>
      <protection hidden="1"/>
    </xf>
    <xf numFmtId="0" fontId="8" fillId="2" borderId="0" xfId="0" applyFont="1" applyFill="1" applyAlignment="1" applyProtection="1">
      <alignment horizontal="justify"/>
      <protection hidden="1"/>
    </xf>
    <xf numFmtId="44" fontId="0" fillId="5" borderId="16" xfId="15" applyFill="1" applyBorder="1" applyAlignment="1" applyProtection="1">
      <alignment/>
      <protection locked="0"/>
    </xf>
    <xf numFmtId="14" fontId="0" fillId="5" borderId="17" xfId="0" applyNumberFormat="1" applyFill="1" applyBorder="1" applyAlignment="1" applyProtection="1">
      <alignment/>
      <protection locked="0"/>
    </xf>
    <xf numFmtId="44" fontId="0" fillId="5" borderId="18" xfId="15" applyFill="1" applyBorder="1" applyAlignment="1" applyProtection="1">
      <alignment/>
      <protection locked="0"/>
    </xf>
    <xf numFmtId="14" fontId="0" fillId="5" borderId="18" xfId="0" applyNumberFormat="1" applyFill="1" applyBorder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44" fontId="0" fillId="2" borderId="15" xfId="0" applyNumberFormat="1" applyFill="1" applyBorder="1" applyAlignment="1" applyProtection="1">
      <alignment/>
      <protection hidden="1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44" fontId="0" fillId="2" borderId="19" xfId="15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14" fontId="0" fillId="0" borderId="17" xfId="0" applyNumberFormat="1" applyFill="1" applyBorder="1" applyAlignment="1" applyProtection="1">
      <alignment/>
      <protection hidden="1"/>
    </xf>
    <xf numFmtId="10" fontId="0" fillId="2" borderId="0" xfId="20" applyNumberFormat="1" applyFill="1" applyAlignment="1">
      <alignment/>
    </xf>
    <xf numFmtId="44" fontId="13" fillId="2" borderId="0" xfId="15" applyFont="1" applyFill="1" applyAlignment="1">
      <alignment horizontal="right"/>
    </xf>
    <xf numFmtId="0" fontId="3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justify"/>
    </xf>
    <xf numFmtId="0" fontId="3" fillId="3" borderId="10" xfId="0" applyFont="1" applyFill="1" applyBorder="1" applyAlignment="1" applyProtection="1">
      <alignment horizontal="justify" vertical="center"/>
      <protection hidden="1"/>
    </xf>
    <xf numFmtId="0" fontId="3" fillId="3" borderId="22" xfId="0" applyFont="1" applyFill="1" applyBorder="1" applyAlignment="1" applyProtection="1">
      <alignment horizontal="justify" vertical="center"/>
      <protection hidden="1"/>
    </xf>
    <xf numFmtId="0" fontId="3" fillId="3" borderId="2" xfId="0" applyFont="1" applyFill="1" applyBorder="1" applyAlignment="1" applyProtection="1">
      <alignment horizontal="justify" vertical="center"/>
      <protection hidden="1"/>
    </xf>
    <xf numFmtId="0" fontId="3" fillId="3" borderId="23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10" fillId="2" borderId="0" xfId="0" applyFont="1" applyFill="1" applyBorder="1" applyAlignment="1" applyProtection="1">
      <alignment horizontal="justify" vertical="center"/>
      <protection hidden="1"/>
    </xf>
    <xf numFmtId="0" fontId="11" fillId="2" borderId="0" xfId="0" applyFont="1" applyFill="1" applyAlignment="1">
      <alignment horizontal="left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top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horizontal="justify"/>
      <protection hidden="1"/>
    </xf>
    <xf numFmtId="0" fontId="15" fillId="2" borderId="0" xfId="0" applyFont="1" applyFill="1" applyAlignment="1" applyProtection="1">
      <alignment horizontal="justify"/>
      <protection hidden="1"/>
    </xf>
    <xf numFmtId="14" fontId="0" fillId="0" borderId="17" xfId="0" applyNumberFormat="1" applyFill="1" applyBorder="1" applyAlignment="1" applyProtection="1">
      <alignment/>
      <protection locked="0"/>
    </xf>
    <xf numFmtId="44" fontId="0" fillId="2" borderId="14" xfId="0" applyNumberFormat="1" applyFill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22.140625" style="1" bestFit="1" customWidth="1"/>
    <col min="2" max="2" width="35.421875" style="2" customWidth="1"/>
    <col min="3" max="3" width="16.57421875" style="1" bestFit="1" customWidth="1"/>
    <col min="4" max="4" width="16.8515625" style="1" bestFit="1" customWidth="1"/>
    <col min="5" max="5" width="16.28125" style="1" customWidth="1"/>
    <col min="6" max="6" width="14.00390625" style="1" customWidth="1"/>
    <col min="7" max="7" width="14.00390625" style="1" hidden="1" customWidth="1"/>
    <col min="8" max="8" width="14.421875" style="1" hidden="1" customWidth="1"/>
    <col min="9" max="9" width="12.7109375" style="1" hidden="1" customWidth="1"/>
    <col min="10" max="10" width="11.8515625" style="1" hidden="1" customWidth="1"/>
    <col min="11" max="11" width="18.57421875" style="1" hidden="1" customWidth="1"/>
    <col min="12" max="12" width="11.57421875" style="1" hidden="1" customWidth="1"/>
    <col min="13" max="13" width="12.421875" style="1" hidden="1" customWidth="1"/>
    <col min="14" max="18" width="11.421875" style="1" hidden="1" customWidth="1"/>
    <col min="19" max="16384" width="11.421875" style="1" customWidth="1"/>
  </cols>
  <sheetData>
    <row r="1" spans="12:17" ht="42.75" customHeight="1" thickBot="1">
      <c r="L1" s="3" t="s">
        <v>0</v>
      </c>
      <c r="M1" s="3" t="s">
        <v>1</v>
      </c>
      <c r="N1" s="3" t="s">
        <v>0</v>
      </c>
      <c r="O1" s="4" t="s">
        <v>2</v>
      </c>
      <c r="P1" s="5" t="s">
        <v>0</v>
      </c>
      <c r="Q1" s="6" t="s">
        <v>2</v>
      </c>
    </row>
    <row r="2" spans="1:17" ht="33" customHeight="1" thickBot="1">
      <c r="A2" s="71" t="s">
        <v>28</v>
      </c>
      <c r="B2" s="71"/>
      <c r="C2" s="71"/>
      <c r="D2" s="71"/>
      <c r="E2" s="71"/>
      <c r="L2" s="7"/>
      <c r="M2" s="7"/>
      <c r="N2" s="8"/>
      <c r="O2" s="9"/>
      <c r="P2" s="10"/>
      <c r="Q2" s="11"/>
    </row>
    <row r="3" spans="1:17" ht="26.25" customHeight="1" thickBot="1">
      <c r="A3" s="77" t="str">
        <f>IF(C6&gt;C14-C5,"¡Error! El importe que reinviertes no puede ser mayor que el importe de la venta una vez descontado el préstamo que se cancela. Por favor revisa los importes introducidos."," ")</f>
        <v> </v>
      </c>
      <c r="B3" s="77"/>
      <c r="C3" s="77"/>
      <c r="D3" s="77"/>
      <c r="E3" s="77"/>
      <c r="L3" s="7"/>
      <c r="M3" s="7"/>
      <c r="N3" s="8"/>
      <c r="O3" s="9"/>
      <c r="P3" s="10"/>
      <c r="Q3" s="11"/>
    </row>
    <row r="4" spans="1:17" ht="20.25" customHeight="1" thickBot="1">
      <c r="A4" s="78" t="s">
        <v>13</v>
      </c>
      <c r="B4" s="78"/>
      <c r="C4" s="78"/>
      <c r="D4" s="12"/>
      <c r="L4" s="7"/>
      <c r="M4" s="7"/>
      <c r="N4" s="8"/>
      <c r="O4" s="9"/>
      <c r="P4" s="10"/>
      <c r="Q4" s="11"/>
    </row>
    <row r="5" spans="1:17" ht="25.5" customHeight="1" thickBot="1" thickTop="1">
      <c r="A5" s="75" t="s">
        <v>37</v>
      </c>
      <c r="B5" s="31" t="s">
        <v>30</v>
      </c>
      <c r="C5" s="52"/>
      <c r="D5" s="84" t="str">
        <f>IF((C13-C15)&lt;1095,"¡Cuidado! Si no has mantenido la vivienda 3 años no puedes aplicar la exención por reinversión, salvo en determinados casos. Consulta un asesor."," ")</f>
        <v> </v>
      </c>
      <c r="E5" s="85"/>
      <c r="F5" s="85"/>
      <c r="L5" s="7"/>
      <c r="M5" s="7"/>
      <c r="N5" s="8"/>
      <c r="O5" s="9"/>
      <c r="P5" s="10"/>
      <c r="Q5" s="11"/>
    </row>
    <row r="6" spans="1:17" ht="27" thickBot="1" thickTop="1">
      <c r="A6" s="76"/>
      <c r="B6" s="31" t="s">
        <v>29</v>
      </c>
      <c r="C6" s="52"/>
      <c r="D6" s="84"/>
      <c r="E6" s="85"/>
      <c r="F6" s="85"/>
      <c r="L6" s="7"/>
      <c r="M6" s="7"/>
      <c r="N6" s="8"/>
      <c r="O6" s="9"/>
      <c r="P6" s="10"/>
      <c r="Q6" s="11"/>
    </row>
    <row r="7" spans="1:17" ht="34.5" customHeight="1" thickBot="1">
      <c r="A7" s="77" t="str">
        <f>IF((C13-C15)&lt;365,"¡ERROR! Cálculo para inmuebles con más de 1 año de antigüedad,si su inmueble tiene menos de 1 año de antiguedad le conviene esperar al 2015 para venderlo."," ")</f>
        <v> </v>
      </c>
      <c r="B7" s="77"/>
      <c r="C7" s="77"/>
      <c r="D7" s="77"/>
      <c r="E7" s="77"/>
      <c r="G7" s="58">
        <v>2014</v>
      </c>
      <c r="H7" s="58">
        <v>2015</v>
      </c>
      <c r="I7" s="58">
        <v>2016</v>
      </c>
      <c r="L7" s="7"/>
      <c r="M7" s="7"/>
      <c r="N7" s="8"/>
      <c r="O7" s="9"/>
      <c r="P7" s="10"/>
      <c r="Q7" s="11"/>
    </row>
    <row r="8" spans="1:17" ht="30" customHeight="1" thickBot="1" thickTop="1">
      <c r="A8" s="72" t="s">
        <v>36</v>
      </c>
      <c r="B8" s="73"/>
      <c r="C8" s="74"/>
      <c r="D8" s="52"/>
      <c r="E8" s="50"/>
      <c r="G8" s="59">
        <f>+C13-C15</f>
        <v>8960</v>
      </c>
      <c r="H8" s="59">
        <f>+D13-D15</f>
        <v>8980</v>
      </c>
      <c r="I8" s="59">
        <f>+E13-E15</f>
        <v>9345</v>
      </c>
      <c r="J8" s="1" t="s">
        <v>3</v>
      </c>
      <c r="L8" s="14">
        <v>1</v>
      </c>
      <c r="M8" s="15">
        <v>1</v>
      </c>
      <c r="N8" s="16">
        <v>1</v>
      </c>
      <c r="O8" s="11">
        <v>1.3299</v>
      </c>
      <c r="P8" s="17" t="s">
        <v>4</v>
      </c>
      <c r="Q8" s="11">
        <f>+O8</f>
        <v>1.3299</v>
      </c>
    </row>
    <row r="9" spans="1:17" ht="29.25" customHeight="1" thickBot="1">
      <c r="A9" s="77" t="str">
        <f>IF(D8&gt;240000,"¡Error! El importe máximo a reinvertir en renta vitalicia no puede ser mayor de 240000. Por favor revisa el importe introducido."," ")</f>
        <v> </v>
      </c>
      <c r="B9" s="77"/>
      <c r="C9" s="77"/>
      <c r="D9" s="77"/>
      <c r="E9" s="77"/>
      <c r="F9" s="34"/>
      <c r="G9" s="60">
        <f>+C18/G8</f>
        <v>26.118303571428573</v>
      </c>
      <c r="H9" s="60">
        <f>+D18/H8</f>
        <v>33.4075723830735</v>
      </c>
      <c r="I9" s="60">
        <f>+E18/I8</f>
        <v>32.102728731942214</v>
      </c>
      <c r="J9" s="1" t="s">
        <v>5</v>
      </c>
      <c r="L9" s="14">
        <v>31778</v>
      </c>
      <c r="M9" s="15">
        <v>0.8888</v>
      </c>
      <c r="N9" s="16">
        <v>34700</v>
      </c>
      <c r="O9" s="11">
        <v>1.405</v>
      </c>
      <c r="P9" s="17">
        <v>1995</v>
      </c>
      <c r="Q9" s="11">
        <f aca="true" t="shared" si="0" ref="Q9:Q28">+O9</f>
        <v>1.405</v>
      </c>
    </row>
    <row r="10" spans="1:17" ht="27" customHeight="1" thickBot="1" thickTop="1">
      <c r="A10" s="72" t="s">
        <v>38</v>
      </c>
      <c r="B10" s="73"/>
      <c r="C10" s="74"/>
      <c r="D10" s="52"/>
      <c r="E10" s="50"/>
      <c r="F10" s="34"/>
      <c r="G10" s="34"/>
      <c r="I10" s="13">
        <f>+I11-C15</f>
        <v>5712</v>
      </c>
      <c r="J10" s="1" t="s">
        <v>6</v>
      </c>
      <c r="L10" s="14">
        <v>32143</v>
      </c>
      <c r="M10" s="15">
        <v>0.7777</v>
      </c>
      <c r="N10" s="16">
        <v>35065</v>
      </c>
      <c r="O10" s="11">
        <v>1.3569</v>
      </c>
      <c r="P10" s="17">
        <v>1996</v>
      </c>
      <c r="Q10" s="11">
        <f t="shared" si="0"/>
        <v>1.3569</v>
      </c>
    </row>
    <row r="11" spans="1:17" ht="16.5" thickBot="1">
      <c r="A11" s="51"/>
      <c r="B11" s="51"/>
      <c r="C11" s="51"/>
      <c r="D11" s="51"/>
      <c r="E11" s="50"/>
      <c r="F11" s="34"/>
      <c r="G11" s="34"/>
      <c r="H11" s="1">
        <f>LOOKUP($C$15,N8:N28,O8:O28)</f>
        <v>1.3299</v>
      </c>
      <c r="I11" s="14">
        <v>38737</v>
      </c>
      <c r="J11" s="1" t="s">
        <v>7</v>
      </c>
      <c r="L11" s="14">
        <v>32509</v>
      </c>
      <c r="M11" s="15">
        <f>+M10-0.1111</f>
        <v>0.6666</v>
      </c>
      <c r="N11" s="16">
        <v>35431</v>
      </c>
      <c r="O11" s="11">
        <v>1.3299</v>
      </c>
      <c r="P11" s="17">
        <v>1997</v>
      </c>
      <c r="Q11" s="11">
        <f t="shared" si="0"/>
        <v>1.3299</v>
      </c>
    </row>
    <row r="12" spans="1:17" ht="13.5" thickBot="1">
      <c r="A12" s="33"/>
      <c r="B12" s="33"/>
      <c r="C12" s="56">
        <v>2014</v>
      </c>
      <c r="D12" s="56">
        <v>2015</v>
      </c>
      <c r="E12" s="56">
        <v>2016</v>
      </c>
      <c r="F12" s="35"/>
      <c r="G12" s="61">
        <f>+G9*$I$10</f>
        <v>149187.75</v>
      </c>
      <c r="H12" s="61">
        <f>+H9*$I$10</f>
        <v>190824.05345211583</v>
      </c>
      <c r="I12" s="61">
        <f>+I9*$I$10</f>
        <v>183370.78651685393</v>
      </c>
      <c r="J12" s="62" t="s">
        <v>9</v>
      </c>
      <c r="K12" s="63"/>
      <c r="L12" s="14">
        <v>32874</v>
      </c>
      <c r="M12" s="15">
        <f aca="true" t="shared" si="1" ref="M12:M17">+M11-0.1111</f>
        <v>0.5555</v>
      </c>
      <c r="N12" s="16">
        <v>35796</v>
      </c>
      <c r="O12" s="11">
        <v>1.3041</v>
      </c>
      <c r="P12" s="17">
        <v>1998</v>
      </c>
      <c r="Q12" s="11">
        <f t="shared" si="0"/>
        <v>1.3041</v>
      </c>
    </row>
    <row r="13" spans="2:17" ht="13.5" thickBot="1">
      <c r="B13" s="38" t="s">
        <v>39</v>
      </c>
      <c r="C13" s="53">
        <v>41985</v>
      </c>
      <c r="D13" s="86">
        <v>42005</v>
      </c>
      <c r="E13" s="86">
        <v>42370</v>
      </c>
      <c r="G13" s="2">
        <f>+G12-C19</f>
        <v>66313.954875</v>
      </c>
      <c r="H13" s="2">
        <f>+H12-D19</f>
        <v>106021.84409799555</v>
      </c>
      <c r="I13" s="2">
        <f>+I12-E19</f>
        <v>101880.80898876404</v>
      </c>
      <c r="J13" s="1" t="s">
        <v>10</v>
      </c>
      <c r="L13" s="14">
        <v>33239</v>
      </c>
      <c r="M13" s="15">
        <f t="shared" si="1"/>
        <v>0.4444</v>
      </c>
      <c r="N13" s="16">
        <v>36161</v>
      </c>
      <c r="O13" s="11">
        <v>1.2807</v>
      </c>
      <c r="P13" s="17">
        <v>1999</v>
      </c>
      <c r="Q13" s="11">
        <f t="shared" si="0"/>
        <v>1.2807</v>
      </c>
    </row>
    <row r="14" spans="2:17" ht="14.25" thickBot="1" thickTop="1">
      <c r="B14" s="38" t="s">
        <v>31</v>
      </c>
      <c r="C14" s="54">
        <v>500000</v>
      </c>
      <c r="D14" s="87">
        <f>+C14</f>
        <v>500000</v>
      </c>
      <c r="E14" s="87">
        <f>+C14</f>
        <v>500000</v>
      </c>
      <c r="F14" s="35"/>
      <c r="G14" s="18">
        <f>+C18-G12</f>
        <v>84832.25</v>
      </c>
      <c r="H14" s="18">
        <f>+D18-H12</f>
        <v>109175.94654788417</v>
      </c>
      <c r="I14" s="18">
        <f>+E18-I12</f>
        <v>116629.21348314607</v>
      </c>
      <c r="J14" s="1" t="s">
        <v>11</v>
      </c>
      <c r="L14" s="14">
        <v>33604</v>
      </c>
      <c r="M14" s="15">
        <f t="shared" si="1"/>
        <v>0.33330000000000004</v>
      </c>
      <c r="N14" s="16">
        <v>36526</v>
      </c>
      <c r="O14" s="11">
        <v>1.256</v>
      </c>
      <c r="P14" s="17">
        <v>2000</v>
      </c>
      <c r="Q14" s="11">
        <f t="shared" si="0"/>
        <v>1.256</v>
      </c>
    </row>
    <row r="15" spans="2:17" ht="14.25" thickBot="1" thickTop="1">
      <c r="B15" s="38" t="s">
        <v>22</v>
      </c>
      <c r="C15" s="55">
        <v>33025</v>
      </c>
      <c r="D15" s="64">
        <f>+C15</f>
        <v>33025</v>
      </c>
      <c r="E15" s="64">
        <f>+D15</f>
        <v>33025</v>
      </c>
      <c r="G15" s="65">
        <f>IF(C15&lt;$L$17,LOOKUP(C15,$L$8:$L$17,$M$8:$M$17),$M$17)</f>
        <v>0.5555</v>
      </c>
      <c r="H15" s="65">
        <f>IF(D15&lt;$L$17,LOOKUP(D15,$L$8:$L$17,$M$8:$M$17),$M$17)</f>
        <v>0.5555</v>
      </c>
      <c r="I15" s="65">
        <f>IF(E15&lt;$L$17,LOOKUP(E15,$L$8:$L$17,$M$8:$M$17),$M$17)</f>
        <v>0.5555</v>
      </c>
      <c r="J15" s="1" t="s">
        <v>41</v>
      </c>
      <c r="L15" s="14">
        <v>33970</v>
      </c>
      <c r="M15" s="15">
        <f t="shared" si="1"/>
        <v>0.22220000000000004</v>
      </c>
      <c r="N15" s="16">
        <v>36892</v>
      </c>
      <c r="O15" s="11">
        <v>1.2314</v>
      </c>
      <c r="P15" s="17">
        <v>2001</v>
      </c>
      <c r="Q15" s="11">
        <f t="shared" si="0"/>
        <v>1.2314</v>
      </c>
    </row>
    <row r="16" spans="2:17" ht="14.25" thickBot="1" thickTop="1">
      <c r="B16" s="38" t="s">
        <v>23</v>
      </c>
      <c r="C16" s="54">
        <v>200000</v>
      </c>
      <c r="D16" s="45">
        <f>+C16</f>
        <v>200000</v>
      </c>
      <c r="E16" s="45">
        <f>+C16</f>
        <v>200000</v>
      </c>
      <c r="F16" s="35"/>
      <c r="H16" s="13">
        <f>400000/D14</f>
        <v>0.8</v>
      </c>
      <c r="I16" s="18"/>
      <c r="L16" s="14">
        <v>34335</v>
      </c>
      <c r="M16" s="15">
        <f t="shared" si="1"/>
        <v>0.11110000000000003</v>
      </c>
      <c r="N16" s="16">
        <v>37257</v>
      </c>
      <c r="O16" s="11">
        <v>1.2072</v>
      </c>
      <c r="P16" s="17">
        <v>2002</v>
      </c>
      <c r="Q16" s="11">
        <f t="shared" si="0"/>
        <v>1.2072</v>
      </c>
    </row>
    <row r="17" spans="2:17" ht="14.25" thickBot="1" thickTop="1">
      <c r="B17" s="38" t="s">
        <v>8</v>
      </c>
      <c r="C17" s="46">
        <f>+C16*H11</f>
        <v>265980</v>
      </c>
      <c r="D17" s="57"/>
      <c r="E17" s="57"/>
      <c r="H17" s="79" t="s">
        <v>15</v>
      </c>
      <c r="I17" s="82" t="s">
        <v>16</v>
      </c>
      <c r="J17" s="82" t="s">
        <v>17</v>
      </c>
      <c r="K17" s="82" t="s">
        <v>18</v>
      </c>
      <c r="L17" s="14">
        <v>34700</v>
      </c>
      <c r="M17" s="15">
        <f t="shared" si="1"/>
        <v>0</v>
      </c>
      <c r="N17" s="16">
        <v>37622</v>
      </c>
      <c r="O17" s="11">
        <v>1.1836</v>
      </c>
      <c r="P17" s="17">
        <v>2003</v>
      </c>
      <c r="Q17" s="11">
        <f t="shared" si="0"/>
        <v>1.1836</v>
      </c>
    </row>
    <row r="18" spans="2:17" ht="13.5" thickBot="1">
      <c r="B18" s="38" t="s">
        <v>24</v>
      </c>
      <c r="C18" s="47">
        <f>+C14-C17</f>
        <v>234020</v>
      </c>
      <c r="D18" s="47">
        <f>+D14-D16</f>
        <v>300000</v>
      </c>
      <c r="E18" s="47">
        <f>+E14-E16</f>
        <v>300000</v>
      </c>
      <c r="F18" s="36"/>
      <c r="G18" s="35"/>
      <c r="H18" s="80"/>
      <c r="I18" s="83"/>
      <c r="J18" s="83"/>
      <c r="K18" s="83"/>
      <c r="M18" s="15"/>
      <c r="N18" s="16">
        <v>37987</v>
      </c>
      <c r="O18" s="11">
        <v>1.1604</v>
      </c>
      <c r="P18" s="17">
        <v>2004</v>
      </c>
      <c r="Q18" s="11">
        <f t="shared" si="0"/>
        <v>1.1604</v>
      </c>
    </row>
    <row r="19" spans="2:17" ht="13.5" thickBot="1">
      <c r="B19" s="29" t="s">
        <v>40</v>
      </c>
      <c r="C19" s="46">
        <f>IF(C18&gt;0,G12*G15,0)</f>
        <v>82873.795125</v>
      </c>
      <c r="D19" s="46">
        <f>IF(D18&gt;0,IF((D10+D14)&lt;400000,(H12*H15),(IF(D10&lt;400000,((400000-D10)/D14)*(H12*H15),0))),0)</f>
        <v>84802.20935412028</v>
      </c>
      <c r="E19" s="46">
        <f>IF(E18&gt;0,IF((E10+E14)&lt;400000,(I12*I15),(IF(E10&lt;400000,((400000-E10)/E14)*(I12*I15),0))),0)</f>
        <v>81489.97752808989</v>
      </c>
      <c r="H19" s="21">
        <v>0</v>
      </c>
      <c r="I19" s="22">
        <v>0</v>
      </c>
      <c r="J19" s="23">
        <v>6000</v>
      </c>
      <c r="K19" s="27">
        <v>0.21</v>
      </c>
      <c r="M19" s="15"/>
      <c r="N19" s="16">
        <v>38353</v>
      </c>
      <c r="O19" s="11">
        <v>1.1376</v>
      </c>
      <c r="P19" s="17">
        <v>2005</v>
      </c>
      <c r="Q19" s="11">
        <f t="shared" si="0"/>
        <v>1.1376</v>
      </c>
    </row>
    <row r="20" spans="2:17" ht="13.5" thickBot="1">
      <c r="B20" s="40" t="s">
        <v>25</v>
      </c>
      <c r="C20" s="49">
        <f>IF(C18&lt;0,0,+C18-C19)</f>
        <v>151146.204875</v>
      </c>
      <c r="D20" s="49">
        <f>IF(D18&lt;0,0,+D18-D19)</f>
        <v>215197.79064587972</v>
      </c>
      <c r="E20" s="49">
        <f>IF(E18&lt;0,0,+E18-E19)</f>
        <v>218510.0224719101</v>
      </c>
      <c r="G20" s="36"/>
      <c r="H20" s="24">
        <f>+J19</f>
        <v>6000</v>
      </c>
      <c r="I20" s="25">
        <f>+J19*K19</f>
        <v>1260</v>
      </c>
      <c r="J20" s="25">
        <v>18000</v>
      </c>
      <c r="K20" s="28">
        <v>0.25</v>
      </c>
      <c r="M20" s="19"/>
      <c r="N20" s="16">
        <v>38718</v>
      </c>
      <c r="O20" s="11">
        <v>1.1152</v>
      </c>
      <c r="P20" s="17">
        <v>2006</v>
      </c>
      <c r="Q20" s="11">
        <f t="shared" si="0"/>
        <v>1.1152</v>
      </c>
    </row>
    <row r="21" spans="2:17" ht="13.5" thickBot="1">
      <c r="B21" s="39" t="s">
        <v>12</v>
      </c>
      <c r="C21" s="46">
        <f>IF($C$6&gt;0,$C$6/(C14-$C$5)*C20,0)</f>
        <v>0</v>
      </c>
      <c r="D21" s="46">
        <f>IF($C$6&gt;0,$C$6/(D14-$C$5)*D20,IF($D$8&gt;0,$D$8/D14*D20,0))</f>
        <v>0</v>
      </c>
      <c r="E21" s="46">
        <f>IF($C$6&gt;0,$C$6/(E14-$C$5)*E20,IF($D$8&gt;0,$D$8/E14*E20,0))</f>
        <v>0</v>
      </c>
      <c r="H21" s="24">
        <f>+H20+J20</f>
        <v>24000</v>
      </c>
      <c r="I21" s="25">
        <f>+I20+J20*K20</f>
        <v>5760</v>
      </c>
      <c r="J21" s="26" t="s">
        <v>19</v>
      </c>
      <c r="K21" s="28">
        <v>0.27</v>
      </c>
      <c r="M21" s="19"/>
      <c r="N21" s="16">
        <v>39083</v>
      </c>
      <c r="O21" s="11">
        <v>1.0934</v>
      </c>
      <c r="P21" s="17">
        <v>2007</v>
      </c>
      <c r="Q21" s="11">
        <f t="shared" si="0"/>
        <v>1.0934</v>
      </c>
    </row>
    <row r="22" spans="2:17" ht="13.5" thickBot="1">
      <c r="B22" s="66" t="s">
        <v>42</v>
      </c>
      <c r="C22" s="47">
        <f>IF($C$15&lt;$H$22,0,IF($C$15&lt;$H$23,$H$24/2,0))</f>
        <v>0</v>
      </c>
      <c r="D22" s="47">
        <f>IF($C$15&lt;$H$22,0,IF($C$15&lt;$H$23,$H$25/2,0))</f>
        <v>0</v>
      </c>
      <c r="E22" s="47">
        <f>IF($C$15&lt;$H$22,0,IF($C$15&lt;$H$23,$H$26/2,0))</f>
        <v>0</v>
      </c>
      <c r="H22" s="14">
        <v>41041</v>
      </c>
      <c r="M22" s="19"/>
      <c r="N22" s="16">
        <v>39448</v>
      </c>
      <c r="O22" s="11">
        <v>1.072</v>
      </c>
      <c r="P22" s="17">
        <v>2008</v>
      </c>
      <c r="Q22" s="11">
        <f t="shared" si="0"/>
        <v>1.072</v>
      </c>
    </row>
    <row r="23" spans="2:17" ht="13.5" thickBot="1">
      <c r="B23" s="30" t="s">
        <v>27</v>
      </c>
      <c r="C23" s="45">
        <f>+C20-C21-C22</f>
        <v>151146.204875</v>
      </c>
      <c r="D23" s="45">
        <f>+D20-D21-D22</f>
        <v>215197.79064587972</v>
      </c>
      <c r="E23" s="45">
        <f>+E20-E21-E22</f>
        <v>218510.0224719101</v>
      </c>
      <c r="H23" s="14">
        <v>41274</v>
      </c>
      <c r="M23" s="19"/>
      <c r="N23" s="16">
        <v>39814</v>
      </c>
      <c r="O23" s="11">
        <v>1.051</v>
      </c>
      <c r="P23" s="17">
        <v>2009</v>
      </c>
      <c r="Q23" s="11">
        <f t="shared" si="0"/>
        <v>1.051</v>
      </c>
    </row>
    <row r="24" spans="2:17" ht="13.5" thickBot="1">
      <c r="B24" s="40" t="s">
        <v>26</v>
      </c>
      <c r="C24" s="48">
        <f>IF(C23&gt;H21,I21+(C23-H21)*K21,IF(C23&gt;H20,I20+(C23-H20)*K20,C23*K19))</f>
        <v>40089.47531625</v>
      </c>
      <c r="D24" s="48">
        <f>IF(D23&gt;$H32,$I32+(D23-$H32)*$K32,IF(D23&gt;$H31,$I31+(D23-$H31)*$K31,D23*$K30))</f>
        <v>50527.46975501113</v>
      </c>
      <c r="E24" s="48">
        <f>IF(E23&gt;$H39,$I39+(E23-$H39)*$K39,IF(E23&gt;$H38,$I38+(E23-$H38)*$K38,E23*$K37))</f>
        <v>49137.30516853933</v>
      </c>
      <c r="H24" s="18">
        <f>+C20-C21</f>
        <v>151146.204875</v>
      </c>
      <c r="I24" s="1" t="s">
        <v>20</v>
      </c>
      <c r="M24" s="14"/>
      <c r="N24" s="16">
        <v>40179</v>
      </c>
      <c r="O24" s="11">
        <v>1.0406</v>
      </c>
      <c r="P24" s="17">
        <v>2010</v>
      </c>
      <c r="Q24" s="11">
        <f t="shared" si="0"/>
        <v>1.0406</v>
      </c>
    </row>
    <row r="25" spans="2:17" ht="13.5" customHeight="1" thickBot="1">
      <c r="B25" s="41" t="s">
        <v>32</v>
      </c>
      <c r="C25" s="42">
        <f>+D24-C24</f>
        <v>10437.994438761132</v>
      </c>
      <c r="D25" s="37" t="str">
        <f>IF(C25&lt;0,"NO TE INTERESA VENDER EN 2014"," ")</f>
        <v> </v>
      </c>
      <c r="H25" s="18">
        <f>+D20-D21</f>
        <v>215197.79064587972</v>
      </c>
      <c r="M25" s="14"/>
      <c r="N25" s="16">
        <v>40544</v>
      </c>
      <c r="O25" s="11">
        <v>1.0303</v>
      </c>
      <c r="P25" s="10">
        <v>2011</v>
      </c>
      <c r="Q25" s="11">
        <f t="shared" si="0"/>
        <v>1.0303</v>
      </c>
    </row>
    <row r="26" spans="2:17" ht="13.5" thickBot="1">
      <c r="B26" s="43" t="s">
        <v>33</v>
      </c>
      <c r="C26" s="44">
        <f>+E24-C24</f>
        <v>9047.829852289331</v>
      </c>
      <c r="D26" s="37" t="str">
        <f>IF(C26&lt;0,"NO TE INTERESA VENDER EN 2014"," ")</f>
        <v> </v>
      </c>
      <c r="H26" s="18">
        <f>+E20-E21</f>
        <v>218510.0224719101</v>
      </c>
      <c r="N26" s="16">
        <v>40909</v>
      </c>
      <c r="O26" s="11">
        <v>1.0201</v>
      </c>
      <c r="P26" s="10">
        <v>2012</v>
      </c>
      <c r="Q26" s="11">
        <f t="shared" si="0"/>
        <v>1.0201</v>
      </c>
    </row>
    <row r="27" spans="2:17" ht="13.5" thickBot="1">
      <c r="B27" s="67"/>
      <c r="C27" s="68"/>
      <c r="D27" s="37"/>
      <c r="H27" s="32" t="s">
        <v>34</v>
      </c>
      <c r="N27" s="16">
        <v>41275</v>
      </c>
      <c r="O27" s="1">
        <v>1.01</v>
      </c>
      <c r="P27" s="17">
        <v>2013</v>
      </c>
      <c r="Q27" s="11">
        <f t="shared" si="0"/>
        <v>1.01</v>
      </c>
    </row>
    <row r="28" spans="1:17" ht="13.5" thickBot="1">
      <c r="A28" s="69" t="s">
        <v>43</v>
      </c>
      <c r="B28" s="1"/>
      <c r="H28" s="79" t="s">
        <v>15</v>
      </c>
      <c r="I28" s="82" t="s">
        <v>16</v>
      </c>
      <c r="J28" s="82" t="s">
        <v>17</v>
      </c>
      <c r="K28" s="82" t="s">
        <v>18</v>
      </c>
      <c r="N28" s="16">
        <v>41640</v>
      </c>
      <c r="O28" s="1">
        <v>1</v>
      </c>
      <c r="P28" s="1">
        <v>2014</v>
      </c>
      <c r="Q28" s="11">
        <f t="shared" si="0"/>
        <v>1</v>
      </c>
    </row>
    <row r="29" spans="8:11" ht="13.5" thickBot="1">
      <c r="H29" s="80"/>
      <c r="I29" s="83"/>
      <c r="J29" s="83"/>
      <c r="K29" s="83"/>
    </row>
    <row r="30" spans="1:11" ht="37.5" customHeight="1">
      <c r="A30" s="81" t="s">
        <v>21</v>
      </c>
      <c r="B30" s="81"/>
      <c r="C30" s="81"/>
      <c r="D30" s="81"/>
      <c r="E30" s="81"/>
      <c r="H30" s="21">
        <v>0</v>
      </c>
      <c r="I30" s="22">
        <v>0</v>
      </c>
      <c r="J30" s="23">
        <v>6000</v>
      </c>
      <c r="K30" s="27">
        <v>0.2</v>
      </c>
    </row>
    <row r="31" spans="1:11" ht="12.75">
      <c r="A31" s="70"/>
      <c r="B31" s="70"/>
      <c r="C31" s="70"/>
      <c r="D31" s="70"/>
      <c r="H31" s="24">
        <f>+J30</f>
        <v>6000</v>
      </c>
      <c r="I31" s="25">
        <f>+J30*K30</f>
        <v>1200</v>
      </c>
      <c r="J31" s="25">
        <v>44000</v>
      </c>
      <c r="K31" s="28">
        <v>0.22</v>
      </c>
    </row>
    <row r="32" spans="1:11" ht="12.75">
      <c r="A32" s="70"/>
      <c r="B32" s="70"/>
      <c r="C32" s="70"/>
      <c r="D32" s="70"/>
      <c r="H32" s="24">
        <f>+H31+J31</f>
        <v>50000</v>
      </c>
      <c r="I32" s="25">
        <f>+I31+J31*K31</f>
        <v>10880</v>
      </c>
      <c r="J32" s="26" t="s">
        <v>19</v>
      </c>
      <c r="K32" s="28">
        <v>0.24</v>
      </c>
    </row>
    <row r="33" spans="1:4" ht="12.75">
      <c r="A33" s="70"/>
      <c r="B33" s="70"/>
      <c r="C33" s="70"/>
      <c r="D33" s="70"/>
    </row>
    <row r="34" ht="13.5" thickBot="1">
      <c r="H34" s="32" t="s">
        <v>35</v>
      </c>
    </row>
    <row r="35" spans="1:11" ht="12.75">
      <c r="A35" s="20" t="s">
        <v>14</v>
      </c>
      <c r="H35" s="79" t="s">
        <v>15</v>
      </c>
      <c r="I35" s="82" t="s">
        <v>16</v>
      </c>
      <c r="J35" s="82" t="s">
        <v>17</v>
      </c>
      <c r="K35" s="82" t="s">
        <v>18</v>
      </c>
    </row>
    <row r="36" spans="8:11" ht="13.5" thickBot="1">
      <c r="H36" s="80"/>
      <c r="I36" s="83"/>
      <c r="J36" s="83"/>
      <c r="K36" s="83"/>
    </row>
    <row r="37" spans="8:11" ht="12.75">
      <c r="H37" s="21">
        <v>0</v>
      </c>
      <c r="I37" s="22">
        <v>0</v>
      </c>
      <c r="J37" s="23">
        <v>6000</v>
      </c>
      <c r="K37" s="27">
        <v>0.19</v>
      </c>
    </row>
    <row r="38" spans="8:11" ht="12.75">
      <c r="H38" s="24">
        <f>+J37</f>
        <v>6000</v>
      </c>
      <c r="I38" s="25">
        <f>+J37*K37</f>
        <v>1140</v>
      </c>
      <c r="J38" s="25">
        <v>44000</v>
      </c>
      <c r="K38" s="28">
        <v>0.21</v>
      </c>
    </row>
    <row r="39" spans="8:11" ht="12.75">
      <c r="H39" s="24">
        <f>+H38+J38</f>
        <v>50000</v>
      </c>
      <c r="I39" s="25">
        <f>+I38+J38*K38</f>
        <v>10380</v>
      </c>
      <c r="J39" s="26" t="s">
        <v>19</v>
      </c>
      <c r="K39" s="28">
        <v>0.23</v>
      </c>
    </row>
  </sheetData>
  <sheetProtection password="DDA9" sheet="1" objects="1" scenarios="1"/>
  <mergeCells count="22">
    <mergeCell ref="H35:H36"/>
    <mergeCell ref="I35:I36"/>
    <mergeCell ref="J35:J36"/>
    <mergeCell ref="K35:K36"/>
    <mergeCell ref="A30:E30"/>
    <mergeCell ref="I17:I18"/>
    <mergeCell ref="J17:J18"/>
    <mergeCell ref="K17:K18"/>
    <mergeCell ref="H28:H29"/>
    <mergeCell ref="I28:I29"/>
    <mergeCell ref="J28:J29"/>
    <mergeCell ref="K28:K29"/>
    <mergeCell ref="A9:E9"/>
    <mergeCell ref="A4:C4"/>
    <mergeCell ref="A7:E7"/>
    <mergeCell ref="H17:H18"/>
    <mergeCell ref="A10:C10"/>
    <mergeCell ref="D5:F6"/>
    <mergeCell ref="A2:E2"/>
    <mergeCell ref="A8:C8"/>
    <mergeCell ref="A5:A6"/>
    <mergeCell ref="A3:E3"/>
  </mergeCells>
  <printOptions horizontalCentered="1" verticalCentered="1"/>
  <pageMargins left="0.7480314960629921" right="0.4330708661417323" top="0.2755905511811024" bottom="0.5511811023622047" header="0.15748031496062992" footer="0.2755905511811024"/>
  <pageSetup horizontalDpi="300" verticalDpi="300" orientation="landscape" paperSize="9" scale="92" r:id="rId4"/>
  <headerFooter alignWithMargins="0">
    <oddFooter>&amp;Chttp://www.impuestosparaandarporcasa.es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PMJ</cp:lastModifiedBy>
  <cp:lastPrinted>2014-11-16T19:02:04Z</cp:lastPrinted>
  <dcterms:created xsi:type="dcterms:W3CDTF">2011-02-04T23:48:48Z</dcterms:created>
  <dcterms:modified xsi:type="dcterms:W3CDTF">2014-11-29T12:15:23Z</dcterms:modified>
  <cp:category/>
  <cp:version/>
  <cp:contentType/>
  <cp:contentStatus/>
</cp:coreProperties>
</file>